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19170" windowHeight="4305" tabRatio="814" activeTab="0"/>
  </bookViews>
  <sheets>
    <sheet name="Static Ports" sheetId="1" r:id="rId1"/>
  </sheets>
  <definedNames>
    <definedName name="AirDensity">'Static Ports'!$B$36</definedName>
    <definedName name="AirMass">'Static Ports'!$B$41</definedName>
    <definedName name="AirSpecificHeatRatio">'Static Ports'!$B$6</definedName>
    <definedName name="AltimeterBayLength">'Static Ports'!$B$32</definedName>
    <definedName name="AltimeterBayRadius">'Static Ports'!$B$31</definedName>
    <definedName name="AltimeterBayVolume">'Static Ports'!$B$40</definedName>
    <definedName name="AtmosphericPressureChange">'Static Ports'!$B$37</definedName>
    <definedName name="ChokedThreshold">'Static Ports'!$B$39</definedName>
    <definedName name="DischargeCoefficient">'Static Ports'!$B$7</definedName>
    <definedName name="g">IF(MeasurementSystem="Imperial",'Static Ports'!$B$8,'Static Ports'!$E$8)</definedName>
    <definedName name="GasConstant">IF(MeasurementSystem="Imperial",'Static Ports'!$B$9,'Static Ports'!$E$9)</definedName>
    <definedName name="inHgtoPSF">'Static Ports'!$B$16</definedName>
    <definedName name="JouletoLAtm">'Static Ports'!$B$17</definedName>
    <definedName name="LapseRate">IF(MeasurementSystem="Imperial",'Static Ports'!$B$10,'Static Ports'!$E$10)</definedName>
    <definedName name="LaunchAltitude">IF(ISBLANK('Static Ports'!$B$27),0,'Static Ports'!$B$27)</definedName>
    <definedName name="LitertoCubicInches">'Static Ports'!$B$18</definedName>
    <definedName name="MassFlowRate">'Static Ports'!$B$42</definedName>
    <definedName name="MeasurementSystem">'Static Ports'!$B$23</definedName>
    <definedName name="MeterstoFeet">'Static Ports'!$B$20</definedName>
    <definedName name="MeterstoInches">'Static Ports'!$B$19</definedName>
    <definedName name="NumberofPorts">'Static Ports'!$B$33</definedName>
    <definedName name="OneAtmosphere">IF(MeasurementSystem="Imperial",'Static Ports'!$B$11,'Static Ports'!$E$11)</definedName>
    <definedName name="OneMoleAir">IF(MeasurementSystem="Imperial",'Static Ports'!$B$12,'Static Ports'!$E$12)</definedName>
    <definedName name="PressureEqualization">'Static Ports'!$B$38</definedName>
    <definedName name="PressureLaunchAltitude">'Static Ports'!$B$35</definedName>
    <definedName name="Temperature">IF(ISBLANK('Static Ports'!$B$26),IF(MeasurementSystem="Imperial",59,15),'Static Ports'!$B$26)</definedName>
    <definedName name="TemperatureKelvin">IF(MeasurementSystem="Imperial",273.15+(Temperature-32)/1.8,273.15+Temperature)</definedName>
    <definedName name="Velocity">IF(ISBLANK('Static Ports'!$B$28),IF(MeasurementSystem="Imperial",1312.335958,400),'Static Ports'!$B$28)</definedName>
  </definedNames>
  <calcPr fullCalcOnLoad="1"/>
</workbook>
</file>

<file path=xl/comments1.xml><?xml version="1.0" encoding="utf-8"?>
<comments xmlns="http://schemas.openxmlformats.org/spreadsheetml/2006/main">
  <authors>
    <author>Off We Go Rocketry</author>
  </authors>
  <commentList>
    <comment ref="A44" authorId="0">
      <text>
        <r>
          <rPr>
            <b/>
            <sz val="8"/>
            <rFont val="Tahoma"/>
            <family val="2"/>
          </rPr>
          <t>Off We Go Rocketry:</t>
        </r>
        <r>
          <rPr>
            <sz val="8"/>
            <rFont val="Tahoma"/>
            <family val="2"/>
          </rPr>
          <t xml:space="preserve">
Computes the initial gas discharge velocity in an unchoked state. Equation adjusted assuming that the discharge curve is linear (its exponential). Bernoulli's principle is not taken into account.</t>
        </r>
      </text>
    </comment>
    <comment ref="A37" authorId="0">
      <text>
        <r>
          <rPr>
            <b/>
            <sz val="9"/>
            <rFont val="Tahoma"/>
            <family val="2"/>
          </rPr>
          <t>Off We Go Rocketry:</t>
        </r>
        <r>
          <rPr>
            <sz val="9"/>
            <rFont val="Tahoma"/>
            <family val="2"/>
          </rPr>
          <t xml:space="preserve">
Normalized atmospheric pressure change to one meter of altitude.</t>
        </r>
      </text>
    </comment>
    <comment ref="A26" authorId="0">
      <text>
        <r>
          <rPr>
            <b/>
            <sz val="9"/>
            <rFont val="Tahoma"/>
            <family val="2"/>
          </rPr>
          <t>Off We Go Rocketry:</t>
        </r>
        <r>
          <rPr>
            <sz val="9"/>
            <rFont val="Tahoma"/>
            <family val="2"/>
          </rPr>
          <t xml:space="preserve">
Defaults to 59°F or 15°C.</t>
        </r>
      </text>
    </comment>
    <comment ref="A27" authorId="0">
      <text>
        <r>
          <rPr>
            <b/>
            <sz val="9"/>
            <rFont val="Tahoma"/>
            <family val="2"/>
          </rPr>
          <t>Off We Go Rocketry:</t>
        </r>
        <r>
          <rPr>
            <sz val="9"/>
            <rFont val="Tahoma"/>
            <family val="2"/>
          </rPr>
          <t xml:space="preserve">
Defaults to sea level.</t>
        </r>
      </text>
    </comment>
    <comment ref="A28" authorId="0">
      <text>
        <r>
          <rPr>
            <b/>
            <sz val="9"/>
            <rFont val="Tahoma"/>
            <family val="2"/>
          </rPr>
          <t>Off We Go Rocketry:</t>
        </r>
        <r>
          <rPr>
            <sz val="9"/>
            <rFont val="Tahoma"/>
            <family val="2"/>
          </rPr>
          <t xml:space="preserve">
Defaults to 1312.335958 ft/s or 400m/s.</t>
        </r>
      </text>
    </comment>
    <comment ref="A38" authorId="0">
      <text>
        <r>
          <rPr>
            <b/>
            <sz val="9"/>
            <rFont val="Tahoma"/>
            <family val="2"/>
          </rPr>
          <t>Off We Go Rocketry:</t>
        </r>
        <r>
          <rPr>
            <sz val="9"/>
            <rFont val="Tahoma"/>
            <family val="2"/>
          </rPr>
          <t xml:space="preserve">
Base equalization rate on one meter of altitude.</t>
        </r>
      </text>
    </comment>
    <comment ref="A33" authorId="0">
      <text>
        <r>
          <rPr>
            <b/>
            <sz val="9"/>
            <rFont val="Tahoma"/>
            <family val="2"/>
          </rPr>
          <t>Off We Go Rocketry:</t>
        </r>
        <r>
          <rPr>
            <sz val="9"/>
            <rFont val="Tahoma"/>
            <family val="2"/>
          </rPr>
          <t xml:space="preserve">
3 or more ports recommended.</t>
        </r>
      </text>
    </comment>
  </commentList>
</comments>
</file>

<file path=xl/sharedStrings.xml><?xml version="1.0" encoding="utf-8"?>
<sst xmlns="http://schemas.openxmlformats.org/spreadsheetml/2006/main" count="78" uniqueCount="64">
  <si>
    <t>Variables</t>
  </si>
  <si>
    <t>Values</t>
  </si>
  <si>
    <t>Units</t>
  </si>
  <si>
    <r>
      <t>in</t>
    </r>
    <r>
      <rPr>
        <vertAlign val="superscript"/>
        <sz val="10"/>
        <rFont val="Arial"/>
        <family val="2"/>
      </rPr>
      <t>3</t>
    </r>
  </si>
  <si>
    <t>in</t>
  </si>
  <si>
    <t>ft</t>
  </si>
  <si>
    <t>MeterstoFeet</t>
  </si>
  <si>
    <t>Constants</t>
  </si>
  <si>
    <t>MeterstoInches</t>
  </si>
  <si>
    <t>g</t>
  </si>
  <si>
    <t>Pa</t>
  </si>
  <si>
    <t xml:space="preserve">Enter Data Values into Turquoise Cells </t>
  </si>
  <si>
    <t>Measurement System</t>
  </si>
  <si>
    <t>Imperial</t>
  </si>
  <si>
    <t>Metric</t>
  </si>
  <si>
    <t>JouletoLAtm</t>
  </si>
  <si>
    <t>inHg</t>
  </si>
  <si>
    <t>Conversion Factors</t>
  </si>
  <si>
    <t>LitertoCubicInches</t>
  </si>
  <si>
    <t>Altimeter Bay Radius</t>
  </si>
  <si>
    <t>Altimeter Bay Length</t>
  </si>
  <si>
    <t>Number of Ports</t>
  </si>
  <si>
    <t>Pressure Equalization Rate</t>
  </si>
  <si>
    <t>Choked Threshold</t>
  </si>
  <si>
    <t>Air Specific Heat Ratio</t>
  </si>
  <si>
    <t>Atmospheric Pressure Change</t>
  </si>
  <si>
    <t>Discharge Coefficient</t>
  </si>
  <si>
    <t>One Mole Air Density</t>
  </si>
  <si>
    <t>Air Mass</t>
  </si>
  <si>
    <t>Altimeter Bay Volume</t>
  </si>
  <si>
    <t>Mass Flow Rate</t>
  </si>
  <si>
    <t>Air Density (Dry Air)</t>
  </si>
  <si>
    <t>Lowest Launch Altitude</t>
  </si>
  <si>
    <t>Highest Launch Temperature</t>
  </si>
  <si>
    <t>Anticipated Launch Parameters (Optional)</t>
  </si>
  <si>
    <t>One Atmosphere</t>
  </si>
  <si>
    <t>Maximum Velocity</t>
  </si>
  <si>
    <t>Gas Constant</t>
  </si>
  <si>
    <t>Lapse Rate</t>
  </si>
  <si>
    <r>
      <t>N m mol</t>
    </r>
    <r>
      <rPr>
        <vertAlign val="superscript"/>
        <sz val="10"/>
        <rFont val="Arial"/>
        <family val="2"/>
      </rPr>
      <t>-1</t>
    </r>
    <r>
      <rPr>
        <sz val="10"/>
        <rFont val="Arial"/>
        <family val="2"/>
      </rPr>
      <t xml:space="preserve"> K</t>
    </r>
    <r>
      <rPr>
        <vertAlign val="superscript"/>
        <sz val="10"/>
        <rFont val="Arial"/>
        <family val="2"/>
      </rPr>
      <t>-1</t>
    </r>
  </si>
  <si>
    <t>Atmospheric Pressure at Launch Altitude</t>
  </si>
  <si>
    <t>Size of Ports</t>
  </si>
  <si>
    <t>s</t>
  </si>
  <si>
    <t>inHgtoPSF</t>
  </si>
  <si>
    <r>
      <t xml:space="preserve">Static Port Hole Calculator
</t>
    </r>
    <r>
      <rPr>
        <b/>
        <i/>
        <sz val="18"/>
        <rFont val="Arial"/>
        <family val="2"/>
      </rPr>
      <t>by Gary Stroick</t>
    </r>
  </si>
  <si>
    <r>
      <t>lbm ft</t>
    </r>
    <r>
      <rPr>
        <vertAlign val="superscript"/>
        <sz val="10"/>
        <rFont val="Arial"/>
        <family val="2"/>
      </rPr>
      <t xml:space="preserve">2 </t>
    </r>
    <r>
      <rPr>
        <sz val="10"/>
        <rFont val="Arial"/>
        <family val="2"/>
      </rPr>
      <t>lb-mol</t>
    </r>
    <r>
      <rPr>
        <vertAlign val="superscript"/>
        <sz val="10"/>
        <rFont val="Arial"/>
        <family val="2"/>
      </rPr>
      <t>-1</t>
    </r>
    <r>
      <rPr>
        <sz val="10"/>
        <rFont val="Arial"/>
        <family val="2"/>
      </rPr>
      <t xml:space="preserve"> K</t>
    </r>
    <r>
      <rPr>
        <vertAlign val="superscript"/>
        <sz val="10"/>
        <rFont val="Arial"/>
        <family val="2"/>
      </rPr>
      <t>-1</t>
    </r>
    <r>
      <rPr>
        <sz val="10"/>
        <rFont val="Arial"/>
        <family val="2"/>
      </rPr>
      <t xml:space="preserve"> s</t>
    </r>
    <r>
      <rPr>
        <vertAlign val="superscript"/>
        <sz val="10"/>
        <rFont val="Arial"/>
        <family val="2"/>
      </rPr>
      <t>-2</t>
    </r>
  </si>
  <si>
    <r>
      <t>J L</t>
    </r>
    <r>
      <rPr>
        <vertAlign val="superscript"/>
        <sz val="10"/>
        <rFont val="Arial"/>
        <family val="2"/>
      </rPr>
      <t>-1</t>
    </r>
    <r>
      <rPr>
        <sz val="10"/>
        <rFont val="Arial"/>
        <family val="2"/>
      </rPr>
      <t xml:space="preserve"> Atm</t>
    </r>
    <r>
      <rPr>
        <vertAlign val="superscript"/>
        <sz val="10"/>
        <rFont val="Arial"/>
        <family val="2"/>
      </rPr>
      <t>-1</t>
    </r>
  </si>
  <si>
    <t>Avionics Bay Parameters (Required)</t>
  </si>
  <si>
    <r>
      <t>m s</t>
    </r>
    <r>
      <rPr>
        <vertAlign val="superscript"/>
        <sz val="10"/>
        <rFont val="Arial"/>
        <family val="2"/>
      </rPr>
      <t>-2</t>
    </r>
  </si>
  <si>
    <r>
      <t>ft s</t>
    </r>
    <r>
      <rPr>
        <vertAlign val="superscript"/>
        <sz val="10"/>
        <rFont val="Arial"/>
        <family val="2"/>
      </rPr>
      <t>-2</t>
    </r>
  </si>
  <si>
    <r>
      <t>°K m</t>
    </r>
    <r>
      <rPr>
        <vertAlign val="superscript"/>
        <sz val="10"/>
        <rFont val="Arial"/>
        <family val="2"/>
      </rPr>
      <t>-1</t>
    </r>
  </si>
  <si>
    <r>
      <t>°K ft</t>
    </r>
    <r>
      <rPr>
        <vertAlign val="superscript"/>
        <sz val="10"/>
        <rFont val="Arial"/>
        <family val="2"/>
      </rPr>
      <t>-1</t>
    </r>
  </si>
  <si>
    <r>
      <t>kg mol</t>
    </r>
    <r>
      <rPr>
        <vertAlign val="superscript"/>
        <sz val="10"/>
        <rFont val="Arial"/>
        <family val="2"/>
      </rPr>
      <t>-1</t>
    </r>
  </si>
  <si>
    <r>
      <t>lbm lb-mol</t>
    </r>
    <r>
      <rPr>
        <vertAlign val="superscript"/>
        <sz val="10"/>
        <rFont val="Arial"/>
        <family val="2"/>
      </rPr>
      <t>-1</t>
    </r>
  </si>
  <si>
    <r>
      <t>lbf ft</t>
    </r>
    <r>
      <rPr>
        <vertAlign val="superscript"/>
        <sz val="10"/>
        <rFont val="Arial"/>
        <family val="2"/>
      </rPr>
      <t>-2</t>
    </r>
  </si>
  <si>
    <t>°C</t>
  </si>
  <si>
    <t>m</t>
  </si>
  <si>
    <t>m/s</t>
  </si>
  <si>
    <t>cm</t>
  </si>
  <si>
    <t>kg/m3</t>
  </si>
  <si>
    <t>cm3</t>
  </si>
  <si>
    <t>kg</t>
  </si>
  <si>
    <t>kg/s</t>
  </si>
  <si>
    <t>COPYRIGHT © 2015 BY OFF WE GO ROCKETRY, LLC. ALL RIGHTS RESERVED.
To anyone who acknowledges that this software is provided "AS IS" without any express or implied warranty: permission to use, copy, modify, and distribute this software for any purpose is hereby granted without fee, provided that the above copyright notice and this notice appears in all copies, and that the name of Off We Go Rocketry not be used in advertising or publicity pertaining to distribution of the software without specific, written prior permission. Off We Go Rocketry makes no representations about the suitability of this software for any purpose. OFF WE GO ROCKETRY IS NOT LIABLE FOR ANY DAMAGES, INCLUDING COMPENSATORY, SPECIAL, INCIDENTAL, EXEMPLARY, PUNITIVE, OR CONSEQUENTIAL DAMAGES, CONNECTED WITH OR RESULTING FROM THE USE OF THIS SOFTWARE.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</si>
</sst>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Red]\(0\)"/>
    <numFmt numFmtId="169" formatCode="#\ ??/16"/>
    <numFmt numFmtId="170" formatCode="#\ ??/32"/>
    <numFmt numFmtId="171" formatCode="#\ ??/64"/>
    <numFmt numFmtId="172" formatCode="0.00_);[Red]\(0.00\)"/>
    <numFmt numFmtId="173" formatCode="#,##0.000000"/>
    <numFmt numFmtId="174" formatCode="#,##0.0000000"/>
    <numFmt numFmtId="175" formatCode="#,##0.000"/>
    <numFmt numFmtId="176" formatCode="0.0000000000"/>
    <numFmt numFmtId="177" formatCode="#\ ??/128"/>
    <numFmt numFmtId="178" formatCode="#\ ??/256"/>
    <numFmt numFmtId="179" formatCode="0.0000"/>
    <numFmt numFmtId="180" formatCode="#,##0.0000"/>
    <numFmt numFmtId="181" formatCode="mmm\-yyyy"/>
    <numFmt numFmtId="182" formatCode="0.000000000000000000"/>
    <numFmt numFmtId="183" formatCode="0.0"/>
    <numFmt numFmtId="184" formatCode="0.00000"/>
    <numFmt numFmtId="185" formatCode="_(* #,##0.0_);_(* \(#,##0.0\);_(* &quot;-&quot;??_);_(@_)"/>
    <numFmt numFmtId="186" formatCode="_(* #,##0.000_);_(* \(#,##0.000\);_(*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0.0%"/>
    <numFmt numFmtId="192" formatCode="0.000%"/>
    <numFmt numFmtId="193" formatCode="0.0000%"/>
    <numFmt numFmtId="194" formatCode="0.00000%"/>
    <numFmt numFmtId="195" formatCode="0.000000%"/>
    <numFmt numFmtId="196" formatCode="0.0000000%"/>
    <numFmt numFmtId="197" formatCode="0.00000000000000000000000"/>
    <numFmt numFmtId="198" formatCode="0.0000000000000000"/>
    <numFmt numFmtId="199" formatCode="0.000000000000000"/>
    <numFmt numFmtId="200" formatCode="0.000000000"/>
    <numFmt numFmtId="201" formatCode="0.00000000"/>
    <numFmt numFmtId="202" formatCode="[$-409]h:mm:ss\ AM/PM"/>
    <numFmt numFmtId="203" formatCode="[$-409]dddd\,\ mmmm\ dd\,\ yyyy"/>
  </numFmts>
  <fonts count="58">
    <font>
      <sz val="10"/>
      <name val="Arial"/>
      <family val="0"/>
    </font>
    <font>
      <b/>
      <sz val="10"/>
      <name val="Arial"/>
      <family val="2"/>
    </font>
    <font>
      <vertAlign val="superscript"/>
      <sz val="10"/>
      <name val="Arial"/>
      <family val="2"/>
    </font>
    <font>
      <sz val="8"/>
      <name val="Arial"/>
      <family val="2"/>
    </font>
    <font>
      <sz val="10"/>
      <color indexed="14"/>
      <name val="Arial"/>
      <family val="2"/>
    </font>
    <font>
      <sz val="8"/>
      <name val="Tahoma"/>
      <family val="2"/>
    </font>
    <font>
      <b/>
      <sz val="8"/>
      <name val="Tahoma"/>
      <family val="2"/>
    </font>
    <font>
      <b/>
      <i/>
      <sz val="10"/>
      <name val="Arial"/>
      <family val="2"/>
    </font>
    <font>
      <b/>
      <i/>
      <sz val="24"/>
      <name val="Arial"/>
      <family val="2"/>
    </font>
    <font>
      <b/>
      <sz val="12"/>
      <name val="Arial"/>
      <family val="2"/>
    </font>
    <font>
      <sz val="12"/>
      <name val="Arial"/>
      <family val="2"/>
    </font>
    <font>
      <sz val="9"/>
      <name val="Tahoma"/>
      <family val="2"/>
    </font>
    <font>
      <b/>
      <sz val="9"/>
      <name val="Tahoma"/>
      <family val="2"/>
    </font>
    <font>
      <b/>
      <i/>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5"/>
      <name val="Arial"/>
      <family val="2"/>
    </font>
    <font>
      <sz val="10"/>
      <color indexed="63"/>
      <name val="Arial"/>
      <family val="2"/>
    </font>
    <font>
      <b/>
      <i/>
      <sz val="11"/>
      <color indexed="15"/>
      <name val="Arial"/>
      <family val="2"/>
    </font>
    <font>
      <i/>
      <sz val="10"/>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FF"/>
      <name val="Arial"/>
      <family val="2"/>
    </font>
    <font>
      <sz val="10"/>
      <color rgb="FF00FFFF"/>
      <name val="Arial"/>
      <family val="2"/>
    </font>
    <font>
      <sz val="10"/>
      <color rgb="FF3C3C3C"/>
      <name val="Arial"/>
      <family val="2"/>
    </font>
    <font>
      <b/>
      <i/>
      <sz val="11"/>
      <color rgb="FF00FFFF"/>
      <name val="Arial"/>
      <family val="2"/>
    </font>
    <font>
      <i/>
      <sz val="10"/>
      <color rgb="FFFF00FF"/>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style="double"/>
    </border>
    <border>
      <left style="double"/>
      <right>
        <color indexed="63"/>
      </right>
      <top style="double"/>
      <bottom style="double"/>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4">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4" fillId="0" borderId="0" xfId="0" applyFont="1" applyAlignment="1">
      <alignment/>
    </xf>
    <xf numFmtId="171" fontId="0" fillId="0" borderId="0" xfId="0" applyNumberFormat="1" applyAlignment="1">
      <alignment/>
    </xf>
    <xf numFmtId="0" fontId="52" fillId="0" borderId="0" xfId="0" applyFont="1" applyAlignment="1">
      <alignment vertical="center"/>
    </xf>
    <xf numFmtId="0" fontId="1" fillId="0" borderId="0" xfId="0" applyFont="1" applyAlignment="1">
      <alignment/>
    </xf>
    <xf numFmtId="0" fontId="53" fillId="0" borderId="0" xfId="0" applyFont="1" applyAlignment="1">
      <alignment/>
    </xf>
    <xf numFmtId="0" fontId="8" fillId="0" borderId="0" xfId="0" applyFont="1" applyAlignment="1">
      <alignment vertical="center"/>
    </xf>
    <xf numFmtId="0" fontId="0" fillId="0" borderId="0" xfId="0" applyFont="1" applyFill="1" applyAlignment="1">
      <alignment/>
    </xf>
    <xf numFmtId="194" fontId="0" fillId="0" borderId="0" xfId="57" applyNumberFormat="1" applyFont="1" applyFill="1" applyAlignment="1">
      <alignment vertical="center"/>
    </xf>
    <xf numFmtId="0" fontId="9" fillId="0" borderId="0" xfId="0" applyFont="1" applyAlignment="1">
      <alignment horizontal="center" vertical="center"/>
    </xf>
    <xf numFmtId="0" fontId="0" fillId="0" borderId="0" xfId="0" applyNumberFormat="1" applyAlignment="1">
      <alignment/>
    </xf>
    <xf numFmtId="0" fontId="0" fillId="0" borderId="0" xfId="0" applyNumberFormat="1" applyAlignment="1">
      <alignment vertical="center"/>
    </xf>
    <xf numFmtId="0" fontId="0" fillId="0" borderId="0" xfId="0" applyNumberFormat="1" applyFont="1" applyAlignment="1">
      <alignment vertical="center"/>
    </xf>
    <xf numFmtId="0" fontId="0" fillId="0" borderId="0" xfId="0" applyNumberFormat="1" applyFont="1" applyAlignment="1">
      <alignment/>
    </xf>
    <xf numFmtId="0" fontId="0" fillId="0" borderId="0" xfId="0" applyNumberFormat="1" applyFont="1" applyFill="1" applyAlignment="1">
      <alignment/>
    </xf>
    <xf numFmtId="0" fontId="1" fillId="0" borderId="0" xfId="0" applyFont="1" applyAlignment="1">
      <alignment vertical="center"/>
    </xf>
    <xf numFmtId="0" fontId="7" fillId="0" borderId="0" xfId="0" applyFont="1" applyAlignment="1">
      <alignment/>
    </xf>
    <xf numFmtId="0" fontId="0" fillId="0" borderId="0" xfId="0" applyNumberFormat="1" applyFont="1" applyFill="1" applyAlignment="1">
      <alignment vertical="center"/>
    </xf>
    <xf numFmtId="0" fontId="1" fillId="0" borderId="10" xfId="0" applyFont="1" applyBorder="1" applyAlignment="1">
      <alignment vertical="center"/>
    </xf>
    <xf numFmtId="0" fontId="0" fillId="0" borderId="0" xfId="0" applyNumberFormat="1" applyFont="1" applyBorder="1" applyAlignment="1">
      <alignment/>
    </xf>
    <xf numFmtId="0" fontId="1" fillId="0" borderId="0" xfId="0" applyFont="1" applyBorder="1" applyAlignment="1">
      <alignment vertical="center"/>
    </xf>
    <xf numFmtId="0" fontId="54" fillId="0" borderId="0" xfId="0" applyFont="1" applyAlignment="1">
      <alignment/>
    </xf>
    <xf numFmtId="0" fontId="52" fillId="0" borderId="0" xfId="0" applyFont="1" applyAlignment="1">
      <alignment/>
    </xf>
    <xf numFmtId="0" fontId="1" fillId="0" borderId="11" xfId="0" applyNumberFormat="1" applyFont="1" applyBorder="1" applyAlignment="1">
      <alignment/>
    </xf>
    <xf numFmtId="0" fontId="1" fillId="33" borderId="12" xfId="0" applyFont="1" applyFill="1" applyBorder="1" applyAlignment="1">
      <alignment/>
    </xf>
    <xf numFmtId="0" fontId="1" fillId="33" borderId="12" xfId="0" applyFont="1" applyFill="1" applyBorder="1" applyAlignment="1">
      <alignment vertical="center"/>
    </xf>
    <xf numFmtId="0" fontId="1" fillId="33" borderId="12" xfId="0" applyNumberFormat="1" applyFont="1" applyFill="1" applyBorder="1" applyAlignment="1">
      <alignment/>
    </xf>
    <xf numFmtId="0" fontId="1" fillId="33" borderId="12" xfId="0" applyFont="1" applyFill="1" applyBorder="1" applyAlignment="1">
      <alignment horizontal="center"/>
    </xf>
    <xf numFmtId="0" fontId="55" fillId="34" borderId="0" xfId="46" applyFont="1" applyFill="1" applyAlignment="1">
      <alignment/>
    </xf>
    <xf numFmtId="0" fontId="56" fillId="0" borderId="0" xfId="0" applyFont="1" applyAlignment="1">
      <alignment/>
    </xf>
    <xf numFmtId="0" fontId="0" fillId="0" borderId="0" xfId="57" applyNumberFormat="1" applyFont="1" applyAlignment="1">
      <alignment/>
    </xf>
    <xf numFmtId="0" fontId="9" fillId="0" borderId="0" xfId="0" applyFont="1" applyFill="1" applyAlignment="1">
      <alignment horizontal="center" vertical="center"/>
    </xf>
    <xf numFmtId="0" fontId="10" fillId="0" borderId="0" xfId="0" applyFont="1" applyFill="1" applyAlignment="1">
      <alignment/>
    </xf>
    <xf numFmtId="0" fontId="7" fillId="0" borderId="0" xfId="0" applyFont="1"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numFmt numFmtId="171" formatCode="#\ ??/64"/>
      <border/>
    </dxf>
    <dxf>
      <numFmt numFmtId="183"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pane ySplit="1" topLeftCell="A2" activePane="bottomLeft" state="frozen"/>
      <selection pane="topLeft" activeCell="A1" sqref="A1"/>
      <selection pane="bottomLeft" activeCell="B23" sqref="B23"/>
    </sheetView>
  </sheetViews>
  <sheetFormatPr defaultColWidth="9.140625" defaultRowHeight="12.75"/>
  <cols>
    <col min="1" max="1" width="40.00390625" style="0" bestFit="1" customWidth="1"/>
    <col min="2" max="2" width="12.57421875" style="0" bestFit="1" customWidth="1"/>
    <col min="3" max="3" width="18.8515625" style="0" bestFit="1" customWidth="1"/>
    <col min="4" max="4" width="4.7109375" style="0" customWidth="1"/>
    <col min="5" max="5" width="10.28125" style="0" bestFit="1" customWidth="1"/>
    <col min="6" max="6" width="12.140625" style="0" bestFit="1" customWidth="1"/>
    <col min="7" max="7" width="9.140625" style="0" customWidth="1"/>
    <col min="8" max="8" width="13.8515625" style="0" bestFit="1" customWidth="1"/>
    <col min="9" max="9" width="12.421875" style="0" bestFit="1" customWidth="1"/>
  </cols>
  <sheetData>
    <row r="1" spans="1:6" ht="51" customHeight="1">
      <c r="A1" s="38" t="s">
        <v>44</v>
      </c>
      <c r="B1" s="39"/>
      <c r="C1" s="39"/>
      <c r="D1" s="39"/>
      <c r="E1" s="39"/>
      <c r="F1" s="39"/>
    </row>
    <row r="2" s="1" customFormat="1" ht="12.75" customHeight="1">
      <c r="A2" s="10"/>
    </row>
    <row r="3" spans="1:6" s="1" customFormat="1" ht="12.75" customHeight="1">
      <c r="A3" s="40" t="s">
        <v>7</v>
      </c>
      <c r="B3" s="40"/>
      <c r="C3" s="40"/>
      <c r="D3" s="40"/>
      <c r="E3" s="40"/>
      <c r="F3" s="40"/>
    </row>
    <row r="4" spans="1:6" s="1" customFormat="1" ht="12.75" customHeight="1">
      <c r="A4" s="2"/>
      <c r="B4" s="37" t="s">
        <v>13</v>
      </c>
      <c r="C4" s="37"/>
      <c r="D4" s="3"/>
      <c r="E4" s="37" t="s">
        <v>14</v>
      </c>
      <c r="F4" s="37"/>
    </row>
    <row r="5" spans="1:6" s="1" customFormat="1" ht="12.75" customHeight="1">
      <c r="A5" s="2" t="s">
        <v>0</v>
      </c>
      <c r="B5" s="2" t="s">
        <v>1</v>
      </c>
      <c r="C5" s="2" t="s">
        <v>2</v>
      </c>
      <c r="D5" s="3"/>
      <c r="E5" s="2" t="s">
        <v>1</v>
      </c>
      <c r="F5" s="2" t="s">
        <v>2</v>
      </c>
    </row>
    <row r="6" spans="1:6" s="1" customFormat="1" ht="12.75" customHeight="1">
      <c r="A6" s="3" t="s">
        <v>24</v>
      </c>
      <c r="B6" s="4">
        <v>1.401</v>
      </c>
      <c r="C6" s="2"/>
      <c r="D6" s="3"/>
      <c r="E6" s="4"/>
      <c r="F6" s="3"/>
    </row>
    <row r="7" spans="1:8" s="1" customFormat="1" ht="12.75" customHeight="1">
      <c r="A7" s="3" t="s">
        <v>26</v>
      </c>
      <c r="B7" s="3">
        <v>0.62</v>
      </c>
      <c r="C7" s="4"/>
      <c r="D7" s="3"/>
      <c r="E7" s="3"/>
      <c r="F7" s="3"/>
      <c r="H7" s="3"/>
    </row>
    <row r="8" spans="1:6" s="1" customFormat="1" ht="12.75" customHeight="1">
      <c r="A8" s="3" t="s">
        <v>9</v>
      </c>
      <c r="B8" s="3">
        <v>32.1740485564304</v>
      </c>
      <c r="C8" s="3" t="s">
        <v>49</v>
      </c>
      <c r="D8" s="3"/>
      <c r="E8" s="3">
        <f>9.80665</f>
        <v>9.80665</v>
      </c>
      <c r="F8" s="3" t="s">
        <v>48</v>
      </c>
    </row>
    <row r="9" spans="1:11" s="1" customFormat="1" ht="12.75" customHeight="1">
      <c r="A9" s="3" t="s">
        <v>37</v>
      </c>
      <c r="B9" s="3">
        <v>89494.596</v>
      </c>
      <c r="C9" s="3" t="s">
        <v>45</v>
      </c>
      <c r="D9" s="3"/>
      <c r="E9" s="3">
        <v>8.31432</v>
      </c>
      <c r="F9" s="3" t="s">
        <v>39</v>
      </c>
      <c r="K9" s="3"/>
    </row>
    <row r="10" spans="1:6" s="1" customFormat="1" ht="12.75" customHeight="1">
      <c r="A10" s="3" t="s">
        <v>38</v>
      </c>
      <c r="B10" s="3">
        <v>-0.0019812</v>
      </c>
      <c r="C10" s="3" t="s">
        <v>51</v>
      </c>
      <c r="D10" s="3"/>
      <c r="E10" s="3">
        <f>-0.0065</f>
        <v>-0.0065</v>
      </c>
      <c r="F10" s="3" t="s">
        <v>50</v>
      </c>
    </row>
    <row r="11" spans="1:8" s="1" customFormat="1" ht="12.75" customHeight="1">
      <c r="A11" s="3" t="s">
        <v>35</v>
      </c>
      <c r="B11" s="3">
        <v>29.92126</v>
      </c>
      <c r="C11" s="3" t="s">
        <v>16</v>
      </c>
      <c r="D11" s="3"/>
      <c r="E11" s="3">
        <v>101325</v>
      </c>
      <c r="F11" s="3" t="s">
        <v>10</v>
      </c>
      <c r="G11" s="3"/>
      <c r="H11" s="3"/>
    </row>
    <row r="12" spans="1:6" s="1" customFormat="1" ht="12.75" customHeight="1">
      <c r="A12" s="3" t="s">
        <v>27</v>
      </c>
      <c r="B12" s="3">
        <v>28.9645</v>
      </c>
      <c r="C12" s="3" t="s">
        <v>53</v>
      </c>
      <c r="D12" s="3"/>
      <c r="E12" s="3">
        <v>0.0289645</v>
      </c>
      <c r="F12" s="3" t="s">
        <v>52</v>
      </c>
    </row>
    <row r="13" spans="1:9" s="1" customFormat="1" ht="12.75" customHeight="1">
      <c r="A13" s="3"/>
      <c r="B13" s="3"/>
      <c r="C13" s="3"/>
      <c r="D13" s="16"/>
      <c r="E13" s="16"/>
      <c r="F13" s="16"/>
      <c r="G13" s="15"/>
      <c r="H13" s="15"/>
      <c r="I13" s="15"/>
    </row>
    <row r="14" spans="1:9" s="1" customFormat="1" ht="12.75" customHeight="1">
      <c r="A14" s="35" t="s">
        <v>17</v>
      </c>
      <c r="B14" s="36"/>
      <c r="C14" s="36"/>
      <c r="D14" s="16"/>
      <c r="E14" s="17"/>
      <c r="F14" s="17"/>
      <c r="G14" s="14"/>
      <c r="H14" s="15"/>
      <c r="I14" s="15"/>
    </row>
    <row r="15" spans="1:9" s="1" customFormat="1" ht="12.75" customHeight="1">
      <c r="A15" s="13"/>
      <c r="B15" s="2" t="s">
        <v>1</v>
      </c>
      <c r="C15" s="2" t="s">
        <v>2</v>
      </c>
      <c r="D15" s="16"/>
      <c r="E15" s="17"/>
      <c r="F15" s="17"/>
      <c r="G15" s="14"/>
      <c r="H15" s="15"/>
      <c r="I15" s="15"/>
    </row>
    <row r="16" spans="1:9" s="1" customFormat="1" ht="12.75" customHeight="1">
      <c r="A16" s="3" t="s">
        <v>43</v>
      </c>
      <c r="B16" s="3">
        <v>70.7261873</v>
      </c>
      <c r="C16" s="3" t="s">
        <v>54</v>
      </c>
      <c r="D16" s="16"/>
      <c r="E16" s="17"/>
      <c r="F16" s="16"/>
      <c r="G16" s="14"/>
      <c r="H16" s="15"/>
      <c r="I16" s="15"/>
    </row>
    <row r="17" spans="1:9" s="1" customFormat="1" ht="12.75" customHeight="1">
      <c r="A17" s="3" t="s">
        <v>15</v>
      </c>
      <c r="B17" s="3">
        <v>0.0098692</v>
      </c>
      <c r="C17" s="3" t="s">
        <v>46</v>
      </c>
      <c r="D17" s="16"/>
      <c r="E17" s="17"/>
      <c r="F17" s="16"/>
      <c r="G17" s="14"/>
      <c r="H17" s="16"/>
      <c r="I17" s="15"/>
    </row>
    <row r="18" spans="1:9" s="1" customFormat="1" ht="12.75" customHeight="1">
      <c r="A18" s="3" t="s">
        <v>18</v>
      </c>
      <c r="B18" s="3">
        <v>61.023744</v>
      </c>
      <c r="C18" s="3" t="s">
        <v>3</v>
      </c>
      <c r="D18" s="16"/>
      <c r="E18" s="17"/>
      <c r="F18" s="17"/>
      <c r="G18" s="14"/>
      <c r="H18" s="15"/>
      <c r="I18" s="15"/>
    </row>
    <row r="19" spans="1:9" s="1" customFormat="1" ht="12.75" customHeight="1">
      <c r="A19" s="3" t="s">
        <v>8</v>
      </c>
      <c r="B19" s="3">
        <f>MeterstoFeet*12</f>
        <v>39.37007874015744</v>
      </c>
      <c r="C19" s="3" t="s">
        <v>4</v>
      </c>
      <c r="D19" s="16"/>
      <c r="E19" s="17"/>
      <c r="F19" s="17"/>
      <c r="G19" s="14"/>
      <c r="H19" s="15"/>
      <c r="I19" s="15"/>
    </row>
    <row r="20" spans="1:9" s="1" customFormat="1" ht="12.75" customHeight="1">
      <c r="A20" s="3" t="s">
        <v>6</v>
      </c>
      <c r="B20" s="3">
        <v>3.28083989501312</v>
      </c>
      <c r="C20" s="3" t="s">
        <v>5</v>
      </c>
      <c r="D20" s="16"/>
      <c r="E20" s="17"/>
      <c r="F20" s="17"/>
      <c r="G20" s="14"/>
      <c r="H20" s="15"/>
      <c r="I20" s="15"/>
    </row>
    <row r="21" spans="1:9" ht="12.75">
      <c r="A21" s="4"/>
      <c r="B21" s="9"/>
      <c r="C21" s="9"/>
      <c r="D21" s="17"/>
      <c r="E21" s="17"/>
      <c r="F21" s="17"/>
      <c r="G21" s="14"/>
      <c r="H21" s="14"/>
      <c r="I21" s="14"/>
    </row>
    <row r="22" spans="1:9" ht="14.25">
      <c r="A22" s="32" t="s">
        <v>11</v>
      </c>
      <c r="B22" s="4"/>
      <c r="C22" s="4"/>
      <c r="D22" s="17"/>
      <c r="E22" s="17"/>
      <c r="F22" s="17"/>
      <c r="G22" s="14"/>
      <c r="H22" s="14"/>
      <c r="I22" s="14"/>
    </row>
    <row r="23" spans="1:9" ht="12.75">
      <c r="A23" s="8" t="s">
        <v>12</v>
      </c>
      <c r="B23" s="31" t="s">
        <v>13</v>
      </c>
      <c r="C23" s="4"/>
      <c r="D23" s="17"/>
      <c r="E23" s="17"/>
      <c r="F23" s="17"/>
      <c r="G23" s="14"/>
      <c r="H23" s="14"/>
      <c r="I23" s="14"/>
    </row>
    <row r="24" spans="1:9" ht="12.75">
      <c r="A24" s="8"/>
      <c r="B24" s="4"/>
      <c r="C24" s="4"/>
      <c r="D24" s="17"/>
      <c r="E24" s="17"/>
      <c r="F24" s="17"/>
      <c r="G24" s="14"/>
      <c r="H24" s="14"/>
      <c r="I24" s="14"/>
    </row>
    <row r="25" spans="1:9" ht="12.75">
      <c r="A25" s="20" t="s">
        <v>34</v>
      </c>
      <c r="B25" s="2" t="s">
        <v>1</v>
      </c>
      <c r="C25" s="2" t="s">
        <v>2</v>
      </c>
      <c r="D25" s="17"/>
      <c r="E25" s="17"/>
      <c r="F25" s="17"/>
      <c r="G25" s="14"/>
      <c r="H25" s="14"/>
      <c r="I25" s="14"/>
    </row>
    <row r="26" spans="1:9" ht="12.75">
      <c r="A26" s="33" t="s">
        <v>33</v>
      </c>
      <c r="B26" s="28">
        <v>49</v>
      </c>
      <c r="C26" s="8" t="str">
        <f>IF(MeasurementSystem="Imperial","°F","°C")</f>
        <v>°F</v>
      </c>
      <c r="D26" s="17"/>
      <c r="E26" s="17">
        <v>9.5</v>
      </c>
      <c r="F26" s="17" t="s">
        <v>55</v>
      </c>
      <c r="G26" s="14"/>
      <c r="H26" s="14"/>
      <c r="I26" s="14"/>
    </row>
    <row r="27" spans="1:9" ht="12.75">
      <c r="A27" s="33" t="s">
        <v>32</v>
      </c>
      <c r="B27" s="28">
        <v>830</v>
      </c>
      <c r="C27" s="19" t="str">
        <f>IF(MeasurementSystem="Imperial","ft","m")</f>
        <v>ft</v>
      </c>
      <c r="D27" s="17"/>
      <c r="E27" s="17">
        <v>253</v>
      </c>
      <c r="F27" s="17" t="s">
        <v>56</v>
      </c>
      <c r="G27" s="14"/>
      <c r="H27" s="14"/>
      <c r="I27" s="14"/>
    </row>
    <row r="28" spans="1:9" ht="12.75">
      <c r="A28" s="33" t="s">
        <v>36</v>
      </c>
      <c r="B28" s="28">
        <v>400</v>
      </c>
      <c r="C28" s="19" t="str">
        <f>IF(MeasurementSystem="Imperial","ft/s","m/s")</f>
        <v>ft/s</v>
      </c>
      <c r="D28" s="17"/>
      <c r="E28" s="17">
        <v>122</v>
      </c>
      <c r="F28" s="17" t="s">
        <v>57</v>
      </c>
      <c r="G28" s="14"/>
      <c r="H28" s="14"/>
      <c r="I28" s="14"/>
    </row>
    <row r="29" spans="1:9" ht="12.75">
      <c r="A29" s="4"/>
      <c r="B29" s="4"/>
      <c r="C29" s="4"/>
      <c r="D29" s="17"/>
      <c r="E29" s="17"/>
      <c r="F29" s="18"/>
      <c r="G29" s="14"/>
      <c r="H29" s="14"/>
      <c r="I29" s="14"/>
    </row>
    <row r="30" spans="1:9" ht="12.75">
      <c r="A30" s="19" t="s">
        <v>47</v>
      </c>
      <c r="B30" s="2" t="s">
        <v>1</v>
      </c>
      <c r="C30" s="2" t="s">
        <v>2</v>
      </c>
      <c r="D30" s="17"/>
      <c r="E30" s="17" t="s">
        <v>1</v>
      </c>
      <c r="F30" s="17" t="s">
        <v>2</v>
      </c>
      <c r="G30" s="14"/>
      <c r="H30" s="14"/>
      <c r="I30" s="14"/>
    </row>
    <row r="31" spans="1:9" ht="12.75">
      <c r="A31" s="7" t="s">
        <v>19</v>
      </c>
      <c r="B31" s="29">
        <v>2.91375</v>
      </c>
      <c r="C31" s="19" t="str">
        <f>IF(MeasurementSystem="Imperial","in","cm")</f>
        <v>in</v>
      </c>
      <c r="D31" s="17"/>
      <c r="E31" s="17">
        <v>7.4</v>
      </c>
      <c r="F31" s="17" t="s">
        <v>58</v>
      </c>
      <c r="G31" s="14"/>
      <c r="H31" s="14"/>
      <c r="I31" s="14"/>
    </row>
    <row r="32" spans="1:9" ht="12.75">
      <c r="A32" s="7" t="s">
        <v>20</v>
      </c>
      <c r="B32" s="29">
        <v>11.5</v>
      </c>
      <c r="C32" s="19" t="str">
        <f>IF(MeasurementSystem="Imperial","in","cm")</f>
        <v>in</v>
      </c>
      <c r="D32" s="17"/>
      <c r="E32" s="17">
        <v>29.2</v>
      </c>
      <c r="F32" s="17" t="s">
        <v>58</v>
      </c>
      <c r="G32" s="14"/>
      <c r="H32" s="14"/>
      <c r="I32" s="14"/>
    </row>
    <row r="33" spans="1:9" ht="12.75">
      <c r="A33" s="26" t="s">
        <v>21</v>
      </c>
      <c r="B33" s="30">
        <v>4</v>
      </c>
      <c r="C33" s="19"/>
      <c r="D33" s="17"/>
      <c r="E33" s="17">
        <v>4</v>
      </c>
      <c r="F33" s="17"/>
      <c r="G33" s="14"/>
      <c r="H33" s="14"/>
      <c r="I33" s="14"/>
    </row>
    <row r="34" spans="1:9" ht="12.75">
      <c r="A34" s="5"/>
      <c r="B34" s="17"/>
      <c r="C34" s="3"/>
      <c r="D34" s="17"/>
      <c r="E34" s="17"/>
      <c r="F34" s="17"/>
      <c r="G34" s="14"/>
      <c r="H34" s="14"/>
      <c r="I34" s="14"/>
    </row>
    <row r="35" spans="1:9" ht="12.75">
      <c r="A35" s="4" t="s">
        <v>40</v>
      </c>
      <c r="B35" s="11">
        <f>OneAtmosphere*(TemperatureKelvin/(TemperatureKelvin+LapseRate*LaunchAltitude))^((g*OneMoleAir)/(GasConstant*LapseRate))</f>
        <v>29.01741825459413</v>
      </c>
      <c r="C35" s="3" t="str">
        <f>IF(MeasurementSystem="Imperial","inHg","Pa")</f>
        <v>inHg</v>
      </c>
      <c r="D35" s="17"/>
      <c r="E35" s="17">
        <v>98264.64403029776</v>
      </c>
      <c r="F35" s="17" t="s">
        <v>10</v>
      </c>
      <c r="G35" s="14"/>
      <c r="H35" s="14"/>
      <c r="I35" s="14"/>
    </row>
    <row r="36" spans="1:9" ht="12.75">
      <c r="A36" s="4" t="s">
        <v>31</v>
      </c>
      <c r="B36" s="18">
        <f>(PressureLaunchAltitude*OneMoleAir)/(GasConstant*TemperatureKelvin)*IF(MeasurementSystem="Imperial",(inHgtoPSF*g),1)</f>
        <v>0.07562237864367642</v>
      </c>
      <c r="C36" s="3" t="str">
        <f>IF(MeasurementSystem="Imperial","lbm/ft3","kg/m3")</f>
        <v>lbm/ft3</v>
      </c>
      <c r="D36" s="17"/>
      <c r="E36" s="17">
        <v>1.2111211707370158</v>
      </c>
      <c r="F36" s="17" t="s">
        <v>59</v>
      </c>
      <c r="G36" s="14"/>
      <c r="H36" s="14"/>
      <c r="I36" s="14"/>
    </row>
    <row r="37" spans="1:9" ht="12.75">
      <c r="A37" s="3" t="s">
        <v>25</v>
      </c>
      <c r="B37" s="12">
        <f>(PressureLaunchAltitude-OneAtmosphere*(TemperatureKelvin/(TemperatureKelvin+LapseRate*(LaunchAltitude+IF(MeasurementSystem="Imperial",MeterstoFeet,1))))^((g*OneMoleAir)/(GasConstant*LapseRate)))/PressureLaunchAltitude</f>
        <v>0.0001215932542696247</v>
      </c>
      <c r="C37" s="3"/>
      <c r="D37" s="17"/>
      <c r="E37" s="34">
        <v>0.00012156926160001311</v>
      </c>
      <c r="F37" s="17"/>
      <c r="G37" s="14"/>
      <c r="H37" s="14"/>
      <c r="I37" s="14"/>
    </row>
    <row r="38" spans="1:9" ht="12.75">
      <c r="A38" s="3" t="s">
        <v>22</v>
      </c>
      <c r="B38" s="21">
        <f>IF(ISBLANK(B28),0.0025,IF(MeasurementSystem="Imperial",MeterstoFeet,1)/Velocity)</f>
        <v>0.0082020997375328</v>
      </c>
      <c r="C38" s="3" t="s">
        <v>42</v>
      </c>
      <c r="D38" s="17"/>
      <c r="E38" s="17">
        <v>0.00819672131147541</v>
      </c>
      <c r="F38" s="17" t="s">
        <v>42</v>
      </c>
      <c r="G38" s="14"/>
      <c r="H38" s="14"/>
      <c r="I38" s="14"/>
    </row>
    <row r="39" spans="1:9" ht="12.75">
      <c r="A39" s="4" t="s">
        <v>23</v>
      </c>
      <c r="B39" s="4">
        <f>((AirSpecificHeatRatio+1)/2)^(AirSpecificHeatRatio/(AirSpecificHeatRatio-1))</f>
        <v>1.8935326533598054</v>
      </c>
      <c r="C39" s="3"/>
      <c r="D39" s="17"/>
      <c r="E39" s="17">
        <v>1.8935326533598054</v>
      </c>
      <c r="F39" s="17"/>
      <c r="G39" s="14"/>
      <c r="H39" s="14"/>
      <c r="I39" s="14"/>
    </row>
    <row r="40" spans="1:9" ht="12.75">
      <c r="A40" s="4" t="s">
        <v>29</v>
      </c>
      <c r="B40" s="17">
        <f>PI()*AltimeterBayRadius^2*AltimeterBayLength</f>
        <v>306.7271971640127</v>
      </c>
      <c r="C40" s="4" t="str">
        <f>IF(MeasurementSystem="Imperial","in3","cm3")</f>
        <v>in3</v>
      </c>
      <c r="D40" s="17"/>
      <c r="E40" s="17">
        <v>5023.381520348851</v>
      </c>
      <c r="F40" s="17" t="s">
        <v>60</v>
      </c>
      <c r="G40" s="14"/>
      <c r="H40" s="14"/>
      <c r="I40" s="14"/>
    </row>
    <row r="41" spans="1:9" ht="12.75">
      <c r="A41" s="4" t="s">
        <v>28</v>
      </c>
      <c r="B41" s="17">
        <f>AirDensity*IF(MeasurementSystem="Imperial",1/12^3,1/100^3)*AltimeterBayVolume</f>
        <v>0.013423287178385741</v>
      </c>
      <c r="C41" s="4" t="str">
        <f>IF(MeasurementSystem="Imperial","lbm","kg")</f>
        <v>lbm</v>
      </c>
      <c r="D41" s="17"/>
      <c r="E41" s="17">
        <v>0.006083923707983591</v>
      </c>
      <c r="F41" s="17" t="s">
        <v>61</v>
      </c>
      <c r="G41" s="17"/>
      <c r="H41" s="14"/>
      <c r="I41" s="14"/>
    </row>
    <row r="42" spans="1:9" ht="12.75">
      <c r="A42" s="4" t="s">
        <v>30</v>
      </c>
      <c r="B42" s="17">
        <f>(AirMass*AtmosphericPressureChange)/PressureEqualization</f>
        <v>0.0001989955283702283</v>
      </c>
      <c r="C42" s="4" t="str">
        <f>IF(MeasurementSystem="Imperial","lbm/s","kg/s")</f>
        <v>lbm/s</v>
      </c>
      <c r="D42" s="17"/>
      <c r="E42" s="17">
        <v>9.023340976286622E-05</v>
      </c>
      <c r="F42" s="17" t="s">
        <v>62</v>
      </c>
      <c r="G42" s="17"/>
      <c r="H42" s="14"/>
      <c r="I42" s="14"/>
    </row>
    <row r="43" spans="1:9" ht="13.5" thickBot="1">
      <c r="A43" s="4"/>
      <c r="B43" s="17"/>
      <c r="C43" s="4"/>
      <c r="D43" s="17"/>
      <c r="E43" s="17"/>
      <c r="F43" s="17"/>
      <c r="G43" s="17"/>
      <c r="H43" s="14"/>
      <c r="I43" s="14"/>
    </row>
    <row r="44" spans="1:9" ht="14.25" thickBot="1" thickTop="1">
      <c r="A44" s="20" t="s">
        <v>41</v>
      </c>
      <c r="B44" s="27">
        <f>CEILING(SQRT((4*MassFlowRate/(PI()*NumberofPorts*DischargeCoefficient*SQRT(2*AirDensity*PressureLaunchAltitude*IF(MeasurementSystem="Imperial",inHgtoPSF*g,1)*(AirSpecificHeatRatio/(AirSpecificHeatRatio-1))*((1-AtmosphericPressureChange)^(2/AirSpecificHeatRatio)-(1-AtmosphericPressureChange)^((AirSpecificHeatRatio+1)/AirSpecificHeatRatio))))))*IF(MeasurementSystem="Imperial",12,1000),IF(MeasurementSystem="Imperial",1/64,0.5))</f>
        <v>0.125</v>
      </c>
      <c r="C44" s="22" t="str">
        <f>IF(MeasurementSystem="Imperial","in","mm")</f>
        <v>in</v>
      </c>
      <c r="D44" s="17"/>
      <c r="E44" s="17"/>
      <c r="F44" s="17"/>
      <c r="G44" s="14"/>
      <c r="H44" s="14"/>
      <c r="I44" s="14"/>
    </row>
    <row r="45" spans="1:9" ht="14.25" thickBot="1" thickTop="1">
      <c r="A45" s="20"/>
      <c r="B45" s="23"/>
      <c r="C45" s="24"/>
      <c r="D45" s="17"/>
      <c r="E45" s="17"/>
      <c r="F45" s="17"/>
      <c r="G45" s="14"/>
      <c r="H45" s="14"/>
      <c r="I45" s="14"/>
    </row>
    <row r="46" spans="1:9" ht="114.75" customHeight="1" thickBot="1" thickTop="1">
      <c r="A46" s="41" t="s">
        <v>63</v>
      </c>
      <c r="B46" s="42"/>
      <c r="C46" s="42"/>
      <c r="D46" s="42"/>
      <c r="E46" s="42"/>
      <c r="F46" s="43"/>
      <c r="G46" s="14"/>
      <c r="H46" s="14"/>
      <c r="I46" s="14"/>
    </row>
    <row r="47" spans="1:9" ht="12.75" customHeight="1" thickTop="1">
      <c r="A47" s="25"/>
      <c r="D47" s="14"/>
      <c r="E47" s="14"/>
      <c r="F47" s="14"/>
      <c r="G47" s="14"/>
      <c r="H47" s="14"/>
      <c r="I47" s="14"/>
    </row>
    <row r="48" spans="4:9" ht="12.75">
      <c r="D48" s="14"/>
      <c r="E48" s="14"/>
      <c r="F48" s="14"/>
      <c r="G48" s="14"/>
      <c r="H48" s="14"/>
      <c r="I48" s="14"/>
    </row>
    <row r="49" spans="4:9" ht="12.75">
      <c r="D49" s="14"/>
      <c r="E49" s="14"/>
      <c r="F49" s="14"/>
      <c r="G49" s="14"/>
      <c r="H49" s="14"/>
      <c r="I49" s="14"/>
    </row>
    <row r="50" ht="12.75">
      <c r="F50" s="6"/>
    </row>
  </sheetData>
  <sheetProtection/>
  <mergeCells count="6">
    <mergeCell ref="A14:C14"/>
    <mergeCell ref="B4:C4"/>
    <mergeCell ref="E4:F4"/>
    <mergeCell ref="A1:F1"/>
    <mergeCell ref="A3:F3"/>
    <mergeCell ref="A46:F46"/>
  </mergeCells>
  <conditionalFormatting sqref="B44:B45">
    <cfRule type="expression" priority="2" dxfId="2" stopIfTrue="1">
      <formula>IF($C$44="in",TRUE)</formula>
    </cfRule>
    <cfRule type="expression" priority="3" dxfId="3" stopIfTrue="1">
      <formula>IF($C$44="mm",TRUE)</formula>
    </cfRule>
  </conditionalFormatting>
  <dataValidations count="5">
    <dataValidation type="list" showInputMessage="1" showErrorMessage="1" sqref="B23">
      <formula1>"Imperial, Metric"</formula1>
    </dataValidation>
    <dataValidation type="whole" operator="greaterThan" allowBlank="1" showInputMessage="1" showErrorMessage="1" sqref="B33">
      <formula1>0</formula1>
    </dataValidation>
    <dataValidation type="decimal" operator="greaterThanOrEqual" allowBlank="1" showInputMessage="1" showErrorMessage="1" sqref="B26">
      <formula1>-273.15</formula1>
    </dataValidation>
    <dataValidation type="decimal" operator="greaterThan" allowBlank="1" showInputMessage="1" showErrorMessage="1" sqref="B28 B31:B32">
      <formula1>0</formula1>
    </dataValidation>
    <dataValidation type="decimal" operator="greaterThan" allowBlank="1" showInputMessage="1" showErrorMessage="1" sqref="B27">
      <formula1>-500</formula1>
    </dataValidation>
  </dataValidations>
  <printOptions/>
  <pageMargins left="0.5" right="0.5" top="0.75" bottom="0.75" header="0.5" footer="0.5"/>
  <pageSetup fitToHeight="1" fitToWidth="1" horizontalDpi="600" verticalDpi="600" orientation="portrait" scale="96" r:id="rId3"/>
  <headerFooter alignWithMargins="0">
    <oddFooter>&amp;R&amp;D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Ryan Stroick</dc:creator>
  <cp:keywords/>
  <dc:description/>
  <cp:lastModifiedBy>Off We Go Rocketry</cp:lastModifiedBy>
  <cp:lastPrinted>2015-02-22T17:40:42Z</cp:lastPrinted>
  <dcterms:created xsi:type="dcterms:W3CDTF">2005-04-03T23:32:34Z</dcterms:created>
  <dcterms:modified xsi:type="dcterms:W3CDTF">2015-03-13T15:33:03Z</dcterms:modified>
  <cp:category/>
  <cp:version/>
  <cp:contentType/>
  <cp:contentStatus/>
</cp:coreProperties>
</file>